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2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1340" windowHeight="6285"/>
  </bookViews>
  <sheets>
    <sheet name="Sheet1" sheetId="1" r:id="rId1"/>
    <sheet name="Sheet2" sheetId="2" r:id="rId2"/>
    <sheet name="Sheet3" sheetId="3" r:id="rId3"/>
  </sheets>
  <calcPr calcId="125725"/>
  <customWorkbookViews>
    <customWorkbookView name="pbonner - Personal View" guid="{60CF1A92-3520-4BAB-8E2C-F29840540FA4}" mergeInterval="0" personalView="1" maximized="1" xWindow="1" yWindow="1" windowWidth="1276" windowHeight="802" activeSheetId="1" showComments="commIndAndComment"/>
  </customWorkbookViews>
</workbook>
</file>

<file path=xl/calcChain.xml><?xml version="1.0" encoding="utf-8"?>
<calcChain xmlns="http://schemas.openxmlformats.org/spreadsheetml/2006/main">
  <c r="E5" i="2"/>
  <c r="E8" s="1"/>
  <c r="E26" i="1" s="1"/>
  <c r="F5" i="2"/>
  <c r="G5"/>
  <c r="H5"/>
  <c r="H8" s="1"/>
  <c r="I5"/>
  <c r="J5"/>
  <c r="E7"/>
  <c r="F7"/>
  <c r="G7"/>
  <c r="H7"/>
  <c r="I7"/>
  <c r="J7"/>
  <c r="F8"/>
  <c r="G8"/>
  <c r="I8"/>
  <c r="J8"/>
  <c r="E9"/>
  <c r="F9"/>
  <c r="G9"/>
  <c r="H9"/>
  <c r="I9"/>
  <c r="J9"/>
  <c r="F10"/>
  <c r="G10"/>
  <c r="I10"/>
  <c r="J10"/>
  <c r="I23"/>
  <c r="I24"/>
  <c r="F36"/>
  <c r="I36"/>
  <c r="F37"/>
  <c r="I37"/>
  <c r="F38"/>
  <c r="I38"/>
  <c r="E17" i="1"/>
  <c r="F17"/>
  <c r="G17"/>
  <c r="H17"/>
  <c r="I17"/>
  <c r="J17"/>
  <c r="E18"/>
  <c r="I18"/>
  <c r="J18"/>
  <c r="E19"/>
  <c r="H19"/>
  <c r="E20"/>
  <c r="H20"/>
  <c r="E21"/>
  <c r="F21"/>
  <c r="G21"/>
  <c r="H21"/>
  <c r="I21"/>
  <c r="J21"/>
  <c r="E22"/>
  <c r="F22"/>
  <c r="G22"/>
  <c r="H22"/>
  <c r="I22"/>
  <c r="J22"/>
  <c r="E23"/>
  <c r="F23"/>
  <c r="G23"/>
  <c r="H23"/>
  <c r="I23"/>
  <c r="J23"/>
  <c r="E25"/>
  <c r="F25"/>
  <c r="G25"/>
  <c r="H25"/>
  <c r="I25"/>
  <c r="J25"/>
  <c r="F26"/>
  <c r="G26"/>
  <c r="I26"/>
  <c r="J26"/>
  <c r="F27"/>
  <c r="G27"/>
  <c r="I27"/>
  <c r="J27"/>
  <c r="F29"/>
  <c r="G29"/>
  <c r="I29"/>
  <c r="J29"/>
  <c r="F30"/>
  <c r="G30"/>
  <c r="I30"/>
  <c r="J30"/>
  <c r="F33"/>
  <c r="G33"/>
  <c r="I33"/>
  <c r="J33"/>
  <c r="E44"/>
  <c r="F44"/>
  <c r="G44"/>
  <c r="H44"/>
  <c r="I44"/>
  <c r="J44"/>
  <c r="E46"/>
  <c r="F46"/>
  <c r="G46"/>
  <c r="H46"/>
  <c r="I46"/>
  <c r="J46"/>
  <c r="E47"/>
  <c r="F47"/>
  <c r="G47"/>
  <c r="H47"/>
  <c r="I47"/>
  <c r="J47"/>
  <c r="E48"/>
  <c r="F48"/>
  <c r="G48"/>
  <c r="H48"/>
  <c r="I48"/>
  <c r="J48"/>
  <c r="E50"/>
  <c r="F50"/>
  <c r="G50"/>
  <c r="H50"/>
  <c r="I50"/>
  <c r="J50"/>
  <c r="E51"/>
  <c r="F51"/>
  <c r="G51"/>
  <c r="H51"/>
  <c r="I51"/>
  <c r="J51"/>
  <c r="E59"/>
  <c r="F59"/>
  <c r="G59"/>
  <c r="H59"/>
  <c r="I59"/>
  <c r="J59"/>
  <c r="E60"/>
  <c r="F60"/>
  <c r="G60"/>
  <c r="H60"/>
  <c r="I60"/>
  <c r="J60"/>
  <c r="E61"/>
  <c r="F61"/>
  <c r="G61"/>
  <c r="H61"/>
  <c r="I61"/>
  <c r="J61"/>
  <c r="E63"/>
  <c r="F63"/>
  <c r="G63"/>
  <c r="H63"/>
  <c r="I63"/>
  <c r="J63"/>
  <c r="F64"/>
  <c r="G64"/>
  <c r="I64"/>
  <c r="J64"/>
  <c r="F65"/>
  <c r="G65"/>
  <c r="I65"/>
  <c r="J65"/>
  <c r="F67"/>
  <c r="G67"/>
  <c r="I67"/>
  <c r="J67"/>
  <c r="F68"/>
  <c r="G68"/>
  <c r="I68"/>
  <c r="J68"/>
  <c r="F69"/>
  <c r="G69"/>
  <c r="I69"/>
  <c r="J69"/>
  <c r="E72"/>
  <c r="F72"/>
  <c r="G72"/>
  <c r="H72"/>
  <c r="I72"/>
  <c r="J72"/>
  <c r="E74"/>
  <c r="F74"/>
  <c r="G74"/>
  <c r="H74"/>
  <c r="I74"/>
  <c r="J74"/>
  <c r="E75"/>
  <c r="F75"/>
  <c r="G75"/>
  <c r="H75"/>
  <c r="I75"/>
  <c r="J75"/>
  <c r="E76"/>
  <c r="F76"/>
  <c r="G76"/>
  <c r="H76"/>
  <c r="I76"/>
  <c r="J76"/>
  <c r="E78"/>
  <c r="F78"/>
  <c r="G78"/>
  <c r="H78"/>
  <c r="I78"/>
  <c r="J78"/>
  <c r="E79"/>
  <c r="F79"/>
  <c r="G79"/>
  <c r="H79"/>
  <c r="I79"/>
  <c r="J79"/>
  <c r="H26" l="1"/>
  <c r="H64"/>
  <c r="H65" s="1"/>
  <c r="H68" s="1"/>
  <c r="E10" i="2"/>
  <c r="H10"/>
  <c r="H29" i="1"/>
  <c r="H27"/>
  <c r="E27"/>
  <c r="E29"/>
  <c r="E64"/>
  <c r="E65" s="1"/>
  <c r="E68" s="1"/>
  <c r="H30" l="1"/>
  <c r="H67"/>
  <c r="H69" s="1"/>
  <c r="H32"/>
  <c r="H34" s="1"/>
  <c r="E30"/>
  <c r="E32" s="1"/>
  <c r="E34" s="1"/>
  <c r="E67"/>
  <c r="E69" s="1"/>
  <c r="I31" l="1"/>
  <c r="I32" s="1"/>
  <c r="I34" s="1"/>
  <c r="F31"/>
  <c r="F32" s="1"/>
  <c r="F34" s="1"/>
  <c r="J31" l="1"/>
  <c r="J32" s="1"/>
  <c r="J34" s="1"/>
  <c r="I36" s="1"/>
  <c r="G31"/>
  <c r="G32" s="1"/>
  <c r="G34" s="1"/>
  <c r="F36" s="1"/>
  <c r="G39" s="1"/>
</calcChain>
</file>

<file path=xl/comments1.xml><?xml version="1.0" encoding="utf-8"?>
<comments xmlns="http://schemas.openxmlformats.org/spreadsheetml/2006/main">
  <authors>
    <author>pbonner</author>
  </authors>
  <commentList>
    <comment ref="J5" authorId="0" guid="{161D41D1-A9A3-4431-8B87-7C480D0F3B1F}">
      <text>
        <r>
          <rPr>
            <b/>
            <sz val="8"/>
            <color indexed="81"/>
            <rFont val="Tahoma"/>
            <charset val="1"/>
          </rPr>
          <t>Enter Roth conversion amount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J6" authorId="0" guid="{E9713770-3E80-4332-9FA1-80FCF0C877D5}">
      <text>
        <r>
          <rPr>
            <b/>
            <sz val="8"/>
            <color indexed="81"/>
            <rFont val="Tahoma"/>
            <charset val="1"/>
          </rPr>
          <t>Enter 2010 other taxable income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J7" authorId="0" guid="{3A2310ED-FE3D-41E4-A2E3-74267E9F9825}">
      <text>
        <r>
          <rPr>
            <b/>
            <sz val="8"/>
            <color indexed="81"/>
            <rFont val="Tahoma"/>
            <charset val="1"/>
          </rPr>
          <t>Enter annual increase in other income</t>
        </r>
      </text>
    </comment>
    <comment ref="J8" authorId="0" guid="{9A5D24C6-D354-4CE9-B801-F341C9A2E911}">
      <text>
        <r>
          <rPr>
            <b/>
            <sz val="8"/>
            <color indexed="81"/>
            <rFont val="Tahoma"/>
            <charset val="1"/>
          </rPr>
          <t>Enter AMT timing adjustments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J9" authorId="0" guid="{ED9E5D67-06F0-4B43-85BD-0943C17E3FE3}">
      <text>
        <r>
          <rPr>
            <b/>
            <sz val="8"/>
            <color indexed="81"/>
            <rFont val="Tahoma"/>
            <charset val="1"/>
          </rPr>
          <t>Enter AMT permanent adjustments</t>
        </r>
      </text>
    </comment>
    <comment ref="J10" authorId="0" guid="{CD9C2A89-F693-4C98-B075-E73C13913403}">
      <text>
        <r>
          <rPr>
            <b/>
            <sz val="8"/>
            <color indexed="81"/>
            <rFont val="Tahoma"/>
            <charset val="1"/>
          </rPr>
          <t>Enter filing status and top tax rate (1-4)</t>
        </r>
      </text>
    </comment>
    <comment ref="J11" authorId="0" guid="{5C02FC7D-C937-4E67-AEE4-A53F31FB9D3B}">
      <text>
        <r>
          <rPr>
            <b/>
            <sz val="8"/>
            <color indexed="81"/>
            <rFont val="Tahoma"/>
            <charset val="1"/>
          </rPr>
          <t>Enter discount rate</t>
        </r>
      </text>
    </comment>
  </commentList>
</comments>
</file>

<file path=xl/sharedStrings.xml><?xml version="1.0" encoding="utf-8"?>
<sst xmlns="http://schemas.openxmlformats.org/spreadsheetml/2006/main" count="89" uniqueCount="60">
  <si>
    <t>Regular Taxable Income</t>
  </si>
  <si>
    <t>Timing (Deferral) Adjustments</t>
  </si>
  <si>
    <t>Permanent (Exclusion) Adjustments</t>
  </si>
  <si>
    <t xml:space="preserve">    Alternative Minimum Taxable Income</t>
  </si>
  <si>
    <t>Tentative Minimum Tax Liability</t>
  </si>
  <si>
    <t>Regular Tax Liability</t>
  </si>
  <si>
    <t xml:space="preserve">    Alternative Minimum Tax Liability</t>
  </si>
  <si>
    <t>Alternative Minimum Tax Liability</t>
  </si>
  <si>
    <t>Alternative Minimum Tax Credit</t>
  </si>
  <si>
    <t xml:space="preserve">     Total Tax Liability</t>
  </si>
  <si>
    <t xml:space="preserve">             x</t>
  </si>
  <si>
    <t xml:space="preserve">     Net Present Value of Tax Liability</t>
  </si>
  <si>
    <t>Roth Conversion Income</t>
  </si>
  <si>
    <t>Regular IRA to Roth IRA Conversion: Evaluating the Income Recognition Options</t>
  </si>
  <si>
    <t xml:space="preserve">    Total Recognition in 2010</t>
  </si>
  <si>
    <t xml:space="preserve">  Recognition in 2011 &amp; 2012</t>
  </si>
  <si>
    <t>Taxpayer Data:</t>
  </si>
  <si>
    <t>AMT Timing Adjustments</t>
  </si>
  <si>
    <t>AMT Permanent Adjustments</t>
  </si>
  <si>
    <t>Computations:</t>
  </si>
  <si>
    <t>Computed Taxable Income</t>
  </si>
  <si>
    <t>AMT Exemption</t>
  </si>
  <si>
    <t>Income</t>
  </si>
  <si>
    <t>Cumulative</t>
  </si>
  <si>
    <t>Tax</t>
  </si>
  <si>
    <t xml:space="preserve">  Rate</t>
  </si>
  <si>
    <t>Tax Rates - 2010 With 35% Maximum Rate:</t>
  </si>
  <si>
    <t>Tax Rates - 2010 With 39.6% Maximum Rate:</t>
  </si>
  <si>
    <t xml:space="preserve">  Single</t>
  </si>
  <si>
    <t xml:space="preserve"> Married</t>
  </si>
  <si>
    <t>Single Tax Liability - 35% Max. Rate</t>
  </si>
  <si>
    <t>Single Tax Liability - 39.6% Max. Rate</t>
  </si>
  <si>
    <t>Married Tax Liability - 35% Max. Rate</t>
  </si>
  <si>
    <t>Married Tax Liability - 39.6% Max. Rate</t>
  </si>
  <si>
    <t>Present Value Factor (Discount Rate)</t>
  </si>
  <si>
    <t>Computed Tax Liabilities:</t>
  </si>
  <si>
    <t xml:space="preserve">   AMTI</t>
  </si>
  <si>
    <t>AMT Exemption Computation:</t>
  </si>
  <si>
    <t>Alternative Minimum Taxable Income</t>
  </si>
  <si>
    <t>Less Phaseout Threshold</t>
  </si>
  <si>
    <t xml:space="preserve">    Excess AMTI</t>
  </si>
  <si>
    <t>Phaseout Percentage</t>
  </si>
  <si>
    <t xml:space="preserve">   Phaseout of AMT Deduction</t>
  </si>
  <si>
    <t>Net AMT Exemption Deduction</t>
  </si>
  <si>
    <t>Initial AMT Exemption</t>
  </si>
  <si>
    <t xml:space="preserve">            x</t>
  </si>
  <si>
    <t>Filing Status &amp; Max. Tax Rate (1 = S/35%, 2 = S/39.6%, 3=M/35%, 4=M/39.6%)</t>
  </si>
  <si>
    <t>Net Present Value of 3-Year Tax Liabilities</t>
  </si>
  <si>
    <t>AMT Credit Computation:</t>
  </si>
  <si>
    <t>Total AMT Liability</t>
  </si>
  <si>
    <t>AMT Credit Available</t>
  </si>
  <si>
    <t>Initial AMT Exemption (w/o Timing Diff.)</t>
  </si>
  <si>
    <t xml:space="preserve">   AMTI With Permanent Adjustments Only</t>
  </si>
  <si>
    <t>Less AMT With Permanent Differences Only</t>
  </si>
  <si>
    <t>User Inputs:</t>
  </si>
  <si>
    <t xml:space="preserve">Present Value Factor </t>
  </si>
  <si>
    <t>Income Recognized From Roth Conversion</t>
  </si>
  <si>
    <t>2010 Taxable Income Exclusive of Roth Conversion</t>
  </si>
  <si>
    <t>Percentage Annual Increase in Other Taxable Income</t>
  </si>
  <si>
    <t>Advantage (Disadvantage) of Deferral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</si>
</sst>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#,##0.000_);[Red]\(#,##0.000\)"/>
    <numFmt numFmtId="165" formatCode="0.00000"/>
  </numFmts>
  <fonts count="9">
    <font>
      <sz val="10"/>
      <name val="Arial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4AAF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3F8B8"/>
        <bgColor indexed="64"/>
      </patternFill>
    </fill>
    <fill>
      <patternFill patternType="solid">
        <fgColor rgb="FFB2E090"/>
        <bgColor indexed="64"/>
      </patternFill>
    </fill>
    <fill>
      <patternFill patternType="solid">
        <fgColor theme="8" tint="0.59996337778862885"/>
        <bgColor theme="8" tint="0.79989013336588644"/>
      </patternFill>
    </fill>
    <fill>
      <patternFill patternType="solid">
        <fgColor rgb="FFB3C6FD"/>
        <bgColor theme="4" tint="0.79992065187536243"/>
      </patternFill>
    </fill>
    <fill>
      <patternFill patternType="solid">
        <fgColor theme="7" tint="0.399945066682943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/>
    <xf numFmtId="0" fontId="0" fillId="0" borderId="9" xfId="0" applyBorder="1"/>
    <xf numFmtId="0" fontId="0" fillId="0" borderId="0" xfId="0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Border="1"/>
    <xf numFmtId="38" fontId="0" fillId="0" borderId="1" xfId="0" applyNumberFormat="1" applyBorder="1"/>
    <xf numFmtId="38" fontId="0" fillId="0" borderId="0" xfId="0" applyNumberFormat="1" applyBorder="1"/>
    <xf numFmtId="38" fontId="0" fillId="0" borderId="9" xfId="0" applyNumberFormat="1" applyBorder="1"/>
    <xf numFmtId="38" fontId="0" fillId="0" borderId="8" xfId="0" applyNumberForma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40" fontId="0" fillId="0" borderId="5" xfId="0" applyNumberFormat="1" applyBorder="1"/>
    <xf numFmtId="40" fontId="0" fillId="0" borderId="9" xfId="0" applyNumberFormat="1" applyBorder="1"/>
    <xf numFmtId="40" fontId="0" fillId="0" borderId="8" xfId="0" applyNumberFormat="1" applyBorder="1"/>
    <xf numFmtId="164" fontId="0" fillId="0" borderId="9" xfId="0" applyNumberFormat="1" applyBorder="1"/>
    <xf numFmtId="164" fontId="0" fillId="0" borderId="8" xfId="0" applyNumberFormat="1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38" fontId="0" fillId="0" borderId="13" xfId="0" applyNumberFormat="1" applyBorder="1"/>
    <xf numFmtId="38" fontId="0" fillId="0" borderId="14" xfId="0" applyNumberFormat="1" applyBorder="1"/>
    <xf numFmtId="38" fontId="0" fillId="0" borderId="15" xfId="0" applyNumberFormat="1" applyBorder="1"/>
    <xf numFmtId="38" fontId="0" fillId="0" borderId="16" xfId="0" applyNumberFormat="1" applyBorder="1"/>
    <xf numFmtId="38" fontId="0" fillId="0" borderId="17" xfId="0" applyNumberFormat="1" applyBorder="1"/>
    <xf numFmtId="38" fontId="0" fillId="0" borderId="18" xfId="0" applyNumberFormat="1" applyBorder="1"/>
    <xf numFmtId="0" fontId="3" fillId="0" borderId="0" xfId="0" applyFont="1"/>
    <xf numFmtId="0" fontId="0" fillId="0" borderId="13" xfId="0" applyBorder="1"/>
    <xf numFmtId="0" fontId="0" fillId="0" borderId="16" xfId="0" applyBorder="1"/>
    <xf numFmtId="0" fontId="0" fillId="0" borderId="6" xfId="0" applyFill="1" applyBorder="1"/>
    <xf numFmtId="0" fontId="3" fillId="0" borderId="0" xfId="0" applyFont="1" applyBorder="1"/>
    <xf numFmtId="0" fontId="0" fillId="0" borderId="19" xfId="0" applyBorder="1"/>
    <xf numFmtId="0" fontId="0" fillId="0" borderId="20" xfId="0" applyBorder="1"/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19" xfId="0" applyNumberFormat="1" applyBorder="1"/>
    <xf numFmtId="165" fontId="0" fillId="0" borderId="21" xfId="0" applyNumberFormat="1" applyBorder="1"/>
    <xf numFmtId="0" fontId="0" fillId="0" borderId="1" xfId="0" applyFill="1" applyBorder="1"/>
    <xf numFmtId="0" fontId="0" fillId="0" borderId="21" xfId="0" applyBorder="1"/>
    <xf numFmtId="0" fontId="0" fillId="0" borderId="22" xfId="0" applyBorder="1"/>
    <xf numFmtId="165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4" fillId="0" borderId="3" xfId="0" applyFont="1" applyBorder="1"/>
    <xf numFmtId="0" fontId="4" fillId="0" borderId="1" xfId="0" applyFont="1" applyBorder="1"/>
    <xf numFmtId="38" fontId="1" fillId="4" borderId="5" xfId="0" applyNumberFormat="1" applyFont="1" applyFill="1" applyBorder="1"/>
    <xf numFmtId="38" fontId="1" fillId="5" borderId="9" xfId="0" applyNumberFormat="1" applyFont="1" applyFill="1" applyBorder="1"/>
    <xf numFmtId="10" fontId="1" fillId="6" borderId="9" xfId="0" applyNumberFormat="1" applyFont="1" applyFill="1" applyBorder="1"/>
    <xf numFmtId="38" fontId="1" fillId="7" borderId="9" xfId="0" applyNumberFormat="1" applyFont="1" applyFill="1" applyBorder="1"/>
    <xf numFmtId="38" fontId="1" fillId="8" borderId="9" xfId="0" applyNumberFormat="1" applyFont="1" applyFill="1" applyBorder="1"/>
    <xf numFmtId="38" fontId="1" fillId="9" borderId="9" xfId="0" applyNumberFormat="1" applyFont="1" applyFill="1" applyBorder="1"/>
    <xf numFmtId="10" fontId="1" fillId="10" borderId="8" xfId="0" applyNumberFormat="1" applyFont="1" applyFill="1" applyBorder="1"/>
    <xf numFmtId="0" fontId="5" fillId="0" borderId="0" xfId="0" applyFont="1"/>
    <xf numFmtId="6" fontId="0" fillId="0" borderId="13" xfId="0" applyNumberFormat="1" applyBorder="1"/>
    <xf numFmtId="6" fontId="0" fillId="0" borderId="16" xfId="0" applyNumberFormat="1" applyBorder="1"/>
    <xf numFmtId="6" fontId="0" fillId="0" borderId="4" xfId="0" applyNumberFormat="1" applyBorder="1"/>
    <xf numFmtId="6" fontId="0" fillId="0" borderId="5" xfId="0" applyNumberFormat="1" applyBorder="1"/>
    <xf numFmtId="6" fontId="0" fillId="0" borderId="14" xfId="0" applyNumberFormat="1" applyBorder="1"/>
    <xf numFmtId="6" fontId="0" fillId="0" borderId="17" xfId="0" applyNumberFormat="1" applyBorder="1"/>
    <xf numFmtId="6" fontId="0" fillId="0" borderId="0" xfId="0" applyNumberFormat="1" applyBorder="1"/>
    <xf numFmtId="6" fontId="0" fillId="0" borderId="9" xfId="0" applyNumberFormat="1" applyBorder="1"/>
    <xf numFmtId="6" fontId="0" fillId="0" borderId="22" xfId="0" applyNumberFormat="1" applyBorder="1"/>
    <xf numFmtId="6" fontId="0" fillId="0" borderId="23" xfId="0" applyNumberFormat="1" applyBorder="1"/>
    <xf numFmtId="6" fontId="0" fillId="0" borderId="19" xfId="0" applyNumberFormat="1" applyBorder="1"/>
    <xf numFmtId="6" fontId="0" fillId="0" borderId="21" xfId="0" applyNumberFormat="1" applyBorder="1"/>
    <xf numFmtId="6" fontId="0" fillId="0" borderId="26" xfId="0" applyNumberFormat="1" applyBorder="1"/>
    <xf numFmtId="6" fontId="0" fillId="0" borderId="27" xfId="0" applyNumberFormat="1" applyBorder="1"/>
    <xf numFmtId="6" fontId="0" fillId="0" borderId="28" xfId="0" applyNumberFormat="1" applyBorder="1"/>
    <xf numFmtId="6" fontId="0" fillId="0" borderId="29" xfId="0" applyNumberFormat="1" applyBorder="1"/>
    <xf numFmtId="6" fontId="4" fillId="0" borderId="30" xfId="0" applyNumberFormat="1" applyFont="1" applyBorder="1" applyAlignment="1">
      <alignment horizontal="center"/>
    </xf>
    <xf numFmtId="6" fontId="0" fillId="0" borderId="1" xfId="0" applyNumberFormat="1" applyBorder="1"/>
    <xf numFmtId="6" fontId="0" fillId="0" borderId="20" xfId="0" applyNumberFormat="1" applyBorder="1"/>
    <xf numFmtId="6" fontId="0" fillId="0" borderId="31" xfId="0" applyNumberFormat="1" applyBorder="1"/>
    <xf numFmtId="6" fontId="0" fillId="0" borderId="32" xfId="0" applyNumberFormat="1" applyBorder="1"/>
    <xf numFmtId="6" fontId="0" fillId="0" borderId="33" xfId="0" applyNumberFormat="1" applyBorder="1"/>
    <xf numFmtId="6" fontId="0" fillId="0" borderId="34" xfId="0" applyNumberFormat="1" applyBorder="1"/>
    <xf numFmtId="6" fontId="0" fillId="0" borderId="35" xfId="0" applyNumberFormat="1" applyBorder="1"/>
    <xf numFmtId="6" fontId="0" fillId="0" borderId="36" xfId="0" applyNumberFormat="1" applyBorder="1"/>
    <xf numFmtId="6" fontId="0" fillId="0" borderId="3" xfId="0" applyNumberFormat="1" applyBorder="1"/>
    <xf numFmtId="6" fontId="0" fillId="0" borderId="37" xfId="0" applyNumberFormat="1" applyBorder="1"/>
    <xf numFmtId="6" fontId="6" fillId="3" borderId="30" xfId="0" applyNumberFormat="1" applyFont="1" applyFill="1" applyBorder="1" applyAlignment="1">
      <alignment horizontal="center"/>
    </xf>
    <xf numFmtId="6" fontId="6" fillId="2" borderId="30" xfId="0" applyNumberFormat="1" applyFont="1" applyFill="1" applyBorder="1" applyAlignment="1">
      <alignment horizontal="center"/>
    </xf>
    <xf numFmtId="0" fontId="6" fillId="2" borderId="0" xfId="0" applyFont="1" applyFill="1" applyBorder="1"/>
    <xf numFmtId="0" fontId="6" fillId="3" borderId="0" xfId="0" applyFont="1" applyFill="1" applyBorder="1"/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guid="{00B02D31-68FF-4575-9B59-58794FF16605}" diskRevisions="1" revisionId="31" version="2">
  <header guid="{00B02D31-68FF-4575-9B59-58794FF16605}" dateTime="2010-07-30T17:16:30" maxSheetId="4" userName="pbonner" r:id="rId2" minRId="25" maxRId="31">
    <sheetIdMap count="3">
      <sheetId val="1"/>
      <sheetId val="2"/>
      <sheetId val="3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>
  <rcc rId="25" sId="2">
    <nc r="E8">
      <f>((E$5-VLOOKUP(E$5,$E$31:$G$38,1))*VLOOKUP(E$5,$E$31:$G$38,3))+VLOOKUP(E$5,$E$38:$G$318,2)</f>
    </nc>
  </rcc>
  <rcc rId="26" sId="2">
    <nc r="E8">
      <f>((E$5-VLOOKUP(E$5,$E$31:$G$38,1))*VLOOKUP(E$5,$E$31:$G$38,3))+VLOOKUP(E$5,$E$38:$G$38,2)</f>
    </nc>
  </rcc>
  <rcc rId="27" sId="2">
    <oc r="E8">
      <f>((E$5-VLOOKUP(E$5,$E$18:$G$24,1))*VLOOKUP(E$5,$E$18:$G$24,3))+VLOOKUP(E$5,$E$18:$G$24,2)</f>
    </oc>
    <nc r="E8">
      <f>((E$5-VLOOKUP(E$5,$E$31:$G$38,1))*VLOOKUP(E$5,$E$31:$G$38,3))+VLOOKUP(E$5,$E$31:$G$38,2)</f>
    </nc>
  </rcc>
  <rcc rId="28" sId="2">
    <nc r="E10">
      <f>((E$5-VLOOKUP(E$5,$H$24:$J$31,1))*VLOOKUP(E$5,$H$24:$J$31,3))+VLOOKUP(E$5,$H$24:$J$31,2)</f>
    </nc>
  </rcc>
  <rcc rId="29" sId="2">
    <oc r="E10">
      <f>((E$5-VLOOKUP(E$5,$H$18:$J$24,1))*VLOOKUP(E$5,$H$18:$J$24,3))+VLOOKUP(E$5,$H$18:$J$24,2)</f>
    </oc>
    <nc r="E10">
      <f>((E$5-VLOOKUP(E$5,$H$31:$J$38,1))*VLOOKUP(E$5,$H$31:$J$38,3))+VLOOKUP(E$5,$H$31:$J$38,2)</f>
    </nc>
  </rcc>
  <rcc rId="30" sId="2">
    <oc r="H8">
      <f>((H$5-VLOOKUP(H$5,$E$18:$G$24,1))*VLOOKUP(H$5,$E$18:$G$24,3))+VLOOKUP(H$5,$E$18:$G$24,2)</f>
    </oc>
    <nc r="H8">
      <f>((H$5-VLOOKUP(H$5,$E$31:$G$38,1))*VLOOKUP(H$5,$E$31:$G$38,3))+VLOOKUP(H$5,$E$31:$G$38,2)</f>
    </nc>
  </rcc>
  <rcc rId="31" sId="2">
    <oc r="H10">
      <f>((H$5-VLOOKUP(H$5,$H$18:$J$24,1))*VLOOKUP(H$5,$H$18:$J$24,3))+VLOOKUP(H$5,$H$18:$J$24,2)</f>
    </oc>
    <nc r="H10">
      <f>((H$5-VLOOKUP(H$5,$H$31:$J$38,1))*VLOOKUP(H$5,$H$31:$J$38,3))+VLOOKUP(H$5,$H$31:$J$38,2)</f>
    </nc>
  </rcc>
  <rcv guid="{60CF1A92-3520-4BAB-8E2C-F29840540FA4}" action="delete"/>
  <rcv guid="{60CF1A92-3520-4BAB-8E2C-F29840540FA4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9"/>
  <sheetViews>
    <sheetView tabSelected="1" zoomScaleNormal="100" workbookViewId="0">
      <selection activeCell="I56" sqref="I56"/>
    </sheetView>
  </sheetViews>
  <sheetFormatPr defaultRowHeight="12.75"/>
  <cols>
    <col min="4" max="4" width="10.5703125" customWidth="1"/>
    <col min="5" max="7" width="9.7109375" bestFit="1" customWidth="1"/>
    <col min="8" max="8" width="10" bestFit="1" customWidth="1"/>
    <col min="9" max="10" width="9.7109375" bestFit="1" customWidth="1"/>
  </cols>
  <sheetData>
    <row r="1" spans="1:10">
      <c r="B1" s="18" t="s">
        <v>13</v>
      </c>
      <c r="C1" s="18"/>
      <c r="D1" s="18"/>
      <c r="E1" s="18"/>
      <c r="F1" s="18"/>
      <c r="G1" s="18"/>
      <c r="H1" s="18"/>
    </row>
    <row r="2" spans="1:10">
      <c r="A2" s="18"/>
      <c r="B2" s="18"/>
      <c r="C2" s="18"/>
      <c r="D2" s="18"/>
      <c r="E2" s="18"/>
      <c r="F2" s="18"/>
      <c r="G2" s="18"/>
      <c r="H2" s="18"/>
    </row>
    <row r="3" spans="1:10">
      <c r="A3" s="56" t="s">
        <v>16</v>
      </c>
      <c r="B3" s="2"/>
      <c r="C3" s="2"/>
      <c r="D3" s="2"/>
      <c r="E3" s="2"/>
      <c r="F3" s="2"/>
      <c r="G3" s="2"/>
      <c r="H3" s="2"/>
      <c r="I3" s="2"/>
      <c r="J3" s="56" t="s">
        <v>54</v>
      </c>
    </row>
    <row r="4" spans="1:10" ht="13.5" thickBo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69" t="s">
        <v>56</v>
      </c>
      <c r="B5" s="5"/>
      <c r="C5" s="5"/>
      <c r="D5" s="5"/>
      <c r="E5" s="5"/>
      <c r="F5" s="5"/>
      <c r="G5" s="5"/>
      <c r="H5" s="5"/>
      <c r="I5" s="67"/>
      <c r="J5" s="71">
        <v>100000</v>
      </c>
    </row>
    <row r="6" spans="1:10">
      <c r="A6" s="70" t="s">
        <v>57</v>
      </c>
      <c r="B6" s="2"/>
      <c r="C6" s="2"/>
      <c r="D6" s="2"/>
      <c r="E6" s="2"/>
      <c r="F6" s="2"/>
      <c r="G6" s="2"/>
      <c r="H6" s="2"/>
      <c r="I6" s="3"/>
      <c r="J6" s="72">
        <v>600000</v>
      </c>
    </row>
    <row r="7" spans="1:10">
      <c r="A7" s="70" t="s">
        <v>58</v>
      </c>
      <c r="B7" s="2"/>
      <c r="C7" s="2"/>
      <c r="D7" s="2"/>
      <c r="E7" s="2"/>
      <c r="F7" s="2"/>
      <c r="G7" s="2"/>
      <c r="H7" s="2"/>
      <c r="I7" s="3"/>
      <c r="J7" s="73">
        <v>0.05</v>
      </c>
    </row>
    <row r="8" spans="1:10">
      <c r="A8" s="1" t="s">
        <v>17</v>
      </c>
      <c r="B8" s="2"/>
      <c r="C8" s="2"/>
      <c r="D8" s="2"/>
      <c r="E8" s="2"/>
      <c r="F8" s="2"/>
      <c r="G8" s="2"/>
      <c r="H8" s="2"/>
      <c r="I8" s="3"/>
      <c r="J8" s="74">
        <v>0</v>
      </c>
    </row>
    <row r="9" spans="1:10">
      <c r="A9" s="1" t="s">
        <v>18</v>
      </c>
      <c r="B9" s="2"/>
      <c r="C9" s="2"/>
      <c r="D9" s="2"/>
      <c r="E9" s="2"/>
      <c r="F9" s="2"/>
      <c r="G9" s="2"/>
      <c r="H9" s="2"/>
      <c r="I9" s="3"/>
      <c r="J9" s="75">
        <v>0</v>
      </c>
    </row>
    <row r="10" spans="1:10">
      <c r="A10" s="1" t="s">
        <v>46</v>
      </c>
      <c r="B10" s="2"/>
      <c r="C10" s="2"/>
      <c r="D10" s="2"/>
      <c r="E10" s="2"/>
      <c r="F10" s="2"/>
      <c r="G10" s="2"/>
      <c r="H10" s="2"/>
      <c r="I10" s="3"/>
      <c r="J10" s="76">
        <v>2</v>
      </c>
    </row>
    <row r="11" spans="1:10" ht="13.5" thickBot="1">
      <c r="A11" s="55" t="s">
        <v>34</v>
      </c>
      <c r="B11" s="8"/>
      <c r="C11" s="8"/>
      <c r="D11" s="8"/>
      <c r="E11" s="8"/>
      <c r="F11" s="8"/>
      <c r="G11" s="8"/>
      <c r="H11" s="8"/>
      <c r="I11" s="68"/>
      <c r="J11" s="77">
        <v>0.03</v>
      </c>
    </row>
    <row r="14" spans="1:10" ht="13.5" thickBot="1">
      <c r="A14" s="2"/>
      <c r="B14" s="2"/>
      <c r="C14" s="2"/>
      <c r="D14" s="2"/>
    </row>
    <row r="15" spans="1:10" ht="13.5" thickBot="1">
      <c r="A15" s="52" t="s">
        <v>35</v>
      </c>
      <c r="B15" s="2"/>
      <c r="C15" s="2"/>
      <c r="D15" s="19"/>
      <c r="E15" s="40" t="s">
        <v>14</v>
      </c>
      <c r="F15" s="41"/>
      <c r="G15" s="42"/>
      <c r="H15" s="43" t="s">
        <v>15</v>
      </c>
      <c r="I15" s="43"/>
      <c r="J15" s="44"/>
    </row>
    <row r="16" spans="1:10" ht="13.5" thickBot="1">
      <c r="A16" s="7"/>
      <c r="B16" s="8"/>
      <c r="C16" s="8"/>
      <c r="D16" s="9"/>
      <c r="E16" s="60">
        <v>2010</v>
      </c>
      <c r="F16" s="45">
        <v>2011</v>
      </c>
      <c r="G16" s="59">
        <v>2012</v>
      </c>
      <c r="H16" s="45">
        <v>2010</v>
      </c>
      <c r="I16" s="45">
        <v>2011</v>
      </c>
      <c r="J16" s="59">
        <v>2012</v>
      </c>
    </row>
    <row r="17" spans="1:10">
      <c r="A17" s="4" t="s">
        <v>0</v>
      </c>
      <c r="B17" s="5"/>
      <c r="C17" s="5"/>
      <c r="D17" s="5"/>
      <c r="E17" s="79">
        <f>$J$6</f>
        <v>600000</v>
      </c>
      <c r="F17" s="80">
        <f>E$17*(1+$J$7)</f>
        <v>630000</v>
      </c>
      <c r="G17" s="81">
        <f>F$17*(1+$J$7)</f>
        <v>661500</v>
      </c>
      <c r="H17" s="79">
        <f>$J$6</f>
        <v>600000</v>
      </c>
      <c r="I17" s="80">
        <f>H$17*(1+$J$7)</f>
        <v>630000</v>
      </c>
      <c r="J17" s="82">
        <f>I$17*(1+$J$7)</f>
        <v>661500</v>
      </c>
    </row>
    <row r="18" spans="1:10">
      <c r="A18" s="1" t="s">
        <v>12</v>
      </c>
      <c r="B18" s="2"/>
      <c r="C18" s="2"/>
      <c r="D18" s="2"/>
      <c r="E18" s="83">
        <f>$J$5</f>
        <v>100000</v>
      </c>
      <c r="F18" s="84">
        <v>0</v>
      </c>
      <c r="G18" s="85">
        <v>0</v>
      </c>
      <c r="H18" s="83">
        <v>0</v>
      </c>
      <c r="I18" s="84">
        <f>$J$5/2</f>
        <v>50000</v>
      </c>
      <c r="J18" s="86">
        <f>$J$5/2</f>
        <v>50000</v>
      </c>
    </row>
    <row r="19" spans="1:10">
      <c r="A19" s="1" t="s">
        <v>1</v>
      </c>
      <c r="B19" s="2"/>
      <c r="C19" s="2"/>
      <c r="D19" s="2"/>
      <c r="E19" s="83">
        <f>$J$8</f>
        <v>0</v>
      </c>
      <c r="F19" s="84">
        <v>0</v>
      </c>
      <c r="G19" s="85">
        <v>0</v>
      </c>
      <c r="H19" s="83">
        <f>$J$8</f>
        <v>0</v>
      </c>
      <c r="I19" s="84">
        <v>0</v>
      </c>
      <c r="J19" s="86">
        <v>0</v>
      </c>
    </row>
    <row r="20" spans="1:10">
      <c r="A20" s="1" t="s">
        <v>2</v>
      </c>
      <c r="B20" s="2"/>
      <c r="C20" s="2"/>
      <c r="D20" s="2"/>
      <c r="E20" s="87">
        <f>$J$9</f>
        <v>0</v>
      </c>
      <c r="F20" s="88">
        <v>0</v>
      </c>
      <c r="G20" s="89">
        <v>0</v>
      </c>
      <c r="H20" s="87">
        <f>$J$9</f>
        <v>0</v>
      </c>
      <c r="I20" s="88">
        <v>0</v>
      </c>
      <c r="J20" s="90">
        <v>0</v>
      </c>
    </row>
    <row r="21" spans="1:10">
      <c r="A21" s="1" t="s">
        <v>36</v>
      </c>
      <c r="B21" s="2"/>
      <c r="C21" s="2"/>
      <c r="D21" s="2"/>
      <c r="E21" s="83">
        <f t="shared" ref="E21:J21" si="0">SUM(E17:E20)</f>
        <v>700000</v>
      </c>
      <c r="F21" s="84">
        <f t="shared" si="0"/>
        <v>630000</v>
      </c>
      <c r="G21" s="85">
        <f t="shared" si="0"/>
        <v>661500</v>
      </c>
      <c r="H21" s="83">
        <f t="shared" si="0"/>
        <v>600000</v>
      </c>
      <c r="I21" s="84">
        <f t="shared" si="0"/>
        <v>680000</v>
      </c>
      <c r="J21" s="86">
        <f t="shared" si="0"/>
        <v>711500</v>
      </c>
    </row>
    <row r="22" spans="1:10">
      <c r="A22" s="1" t="s">
        <v>21</v>
      </c>
      <c r="B22" s="2"/>
      <c r="C22" s="2"/>
      <c r="D22" s="2"/>
      <c r="E22" s="87">
        <f t="shared" ref="E22:J22" si="1">-E$51</f>
        <v>0</v>
      </c>
      <c r="F22" s="88">
        <f t="shared" si="1"/>
        <v>0</v>
      </c>
      <c r="G22" s="89">
        <f t="shared" si="1"/>
        <v>0</v>
      </c>
      <c r="H22" s="87">
        <f t="shared" si="1"/>
        <v>0</v>
      </c>
      <c r="I22" s="88">
        <f t="shared" si="1"/>
        <v>0</v>
      </c>
      <c r="J22" s="90">
        <f t="shared" si="1"/>
        <v>0</v>
      </c>
    </row>
    <row r="23" spans="1:10" ht="13.5" thickBot="1">
      <c r="A23" s="1" t="s">
        <v>3</v>
      </c>
      <c r="B23" s="2"/>
      <c r="C23" s="2"/>
      <c r="D23" s="2"/>
      <c r="E23" s="91">
        <f t="shared" ref="E23:J23" si="2">IF((E$21+E$22)&lt;0,0,E$21+E$22)</f>
        <v>700000</v>
      </c>
      <c r="F23" s="92">
        <f t="shared" si="2"/>
        <v>630000</v>
      </c>
      <c r="G23" s="93">
        <f t="shared" si="2"/>
        <v>661500</v>
      </c>
      <c r="H23" s="91">
        <f t="shared" si="2"/>
        <v>600000</v>
      </c>
      <c r="I23" s="92">
        <f t="shared" si="2"/>
        <v>680000</v>
      </c>
      <c r="J23" s="94">
        <f t="shared" si="2"/>
        <v>711500</v>
      </c>
    </row>
    <row r="24" spans="1:10" ht="13.5" thickTop="1">
      <c r="A24" s="1"/>
      <c r="B24" s="2"/>
      <c r="C24" s="2"/>
      <c r="D24" s="2"/>
      <c r="E24" s="83"/>
      <c r="F24" s="84"/>
      <c r="G24" s="85"/>
      <c r="H24" s="83"/>
      <c r="I24" s="84"/>
      <c r="J24" s="86"/>
    </row>
    <row r="25" spans="1:10">
      <c r="A25" s="1" t="s">
        <v>4</v>
      </c>
      <c r="B25" s="2"/>
      <c r="C25" s="2"/>
      <c r="D25" s="2"/>
      <c r="E25" s="83">
        <f t="shared" ref="E25:J25" si="3">IF((E$23&lt;175000),E$23*0.26,45500+(E$23-175000)*0.28)</f>
        <v>192500</v>
      </c>
      <c r="F25" s="84">
        <f t="shared" si="3"/>
        <v>172900</v>
      </c>
      <c r="G25" s="85">
        <f t="shared" si="3"/>
        <v>181720</v>
      </c>
      <c r="H25" s="83">
        <f t="shared" si="3"/>
        <v>164500</v>
      </c>
      <c r="I25" s="84">
        <f t="shared" si="3"/>
        <v>186900</v>
      </c>
      <c r="J25" s="86">
        <f t="shared" si="3"/>
        <v>195720</v>
      </c>
    </row>
    <row r="26" spans="1:10">
      <c r="A26" s="1" t="s">
        <v>5</v>
      </c>
      <c r="B26" s="2"/>
      <c r="C26" s="2"/>
      <c r="D26" s="2"/>
      <c r="E26" s="87">
        <f>CHOOSE($J$10,Sheet2!E$7,Sheet2!E$8,Sheet2!E$9,Sheet2!E$10)*-1</f>
        <v>-241365.35</v>
      </c>
      <c r="F26" s="88">
        <f>CHOOSE($J$10,Sheet2!F$7,Sheet2!F$8,Sheet2!F$9,Sheet2!F$10)*-1</f>
        <v>-213645.35</v>
      </c>
      <c r="G26" s="89">
        <f>CHOOSE($J$10,Sheet2!G$7,Sheet2!G$8,Sheet2!G$9,Sheet2!G$10)*-1</f>
        <v>-226119.35</v>
      </c>
      <c r="H26" s="87">
        <f>CHOOSE($J$10,Sheet2!H$7,Sheet2!H$8,Sheet2!H$9,Sheet2!H$10)*-1</f>
        <v>-201765.35</v>
      </c>
      <c r="I26" s="88">
        <f>CHOOSE($J$10,Sheet2!I$7,Sheet2!I$8,Sheet2!I$9,Sheet2!I$10)*-1</f>
        <v>-233445.35</v>
      </c>
      <c r="J26" s="90">
        <f>CHOOSE($J$10,Sheet2!J$7,Sheet2!J$8,Sheet2!J$9,Sheet2!J$10)*-1</f>
        <v>-245919.35</v>
      </c>
    </row>
    <row r="27" spans="1:10" ht="13.5" thickBot="1">
      <c r="A27" s="1" t="s">
        <v>6</v>
      </c>
      <c r="B27" s="2"/>
      <c r="C27" s="2"/>
      <c r="D27" s="2"/>
      <c r="E27" s="91">
        <f t="shared" ref="E27:J27" si="4">IF((E$25+E$26)&lt;0,0,E$25+E$26)</f>
        <v>0</v>
      </c>
      <c r="F27" s="92">
        <f t="shared" si="4"/>
        <v>0</v>
      </c>
      <c r="G27" s="93">
        <f t="shared" si="4"/>
        <v>0</v>
      </c>
      <c r="H27" s="91">
        <f t="shared" si="4"/>
        <v>0</v>
      </c>
      <c r="I27" s="92">
        <f t="shared" si="4"/>
        <v>0</v>
      </c>
      <c r="J27" s="94">
        <f t="shared" si="4"/>
        <v>0</v>
      </c>
    </row>
    <row r="28" spans="1:10" ht="13.5" thickTop="1">
      <c r="A28" s="1"/>
      <c r="B28" s="2"/>
      <c r="C28" s="2"/>
      <c r="D28" s="2"/>
      <c r="E28" s="83"/>
      <c r="F28" s="84"/>
      <c r="G28" s="85"/>
      <c r="H28" s="83"/>
      <c r="I28" s="84"/>
      <c r="J28" s="86"/>
    </row>
    <row r="29" spans="1:10">
      <c r="A29" s="1" t="s">
        <v>5</v>
      </c>
      <c r="B29" s="2"/>
      <c r="C29" s="2"/>
      <c r="D29" s="2"/>
      <c r="E29" s="83">
        <f t="shared" ref="E29:J29" si="5">E$26*-1</f>
        <v>241365.35</v>
      </c>
      <c r="F29" s="84">
        <f t="shared" si="5"/>
        <v>213645.35</v>
      </c>
      <c r="G29" s="85">
        <f t="shared" si="5"/>
        <v>226119.35</v>
      </c>
      <c r="H29" s="83">
        <f t="shared" si="5"/>
        <v>201765.35</v>
      </c>
      <c r="I29" s="84">
        <f t="shared" si="5"/>
        <v>233445.35</v>
      </c>
      <c r="J29" s="86">
        <f t="shared" si="5"/>
        <v>245919.35</v>
      </c>
    </row>
    <row r="30" spans="1:10">
      <c r="A30" s="1" t="s">
        <v>7</v>
      </c>
      <c r="B30" s="2"/>
      <c r="C30" s="2"/>
      <c r="D30" s="2"/>
      <c r="E30" s="83">
        <f t="shared" ref="E30:J30" si="6">E$27</f>
        <v>0</v>
      </c>
      <c r="F30" s="84">
        <f t="shared" si="6"/>
        <v>0</v>
      </c>
      <c r="G30" s="85">
        <f t="shared" si="6"/>
        <v>0</v>
      </c>
      <c r="H30" s="83">
        <f t="shared" si="6"/>
        <v>0</v>
      </c>
      <c r="I30" s="84">
        <f t="shared" si="6"/>
        <v>0</v>
      </c>
      <c r="J30" s="86">
        <f t="shared" si="6"/>
        <v>0</v>
      </c>
    </row>
    <row r="31" spans="1:10">
      <c r="A31" s="1" t="s">
        <v>8</v>
      </c>
      <c r="B31" s="2"/>
      <c r="C31" s="2"/>
      <c r="D31" s="2"/>
      <c r="E31" s="87">
        <v>0</v>
      </c>
      <c r="F31" s="88">
        <f>IF(F$27&gt;0,0,(MIN(E$69,-F$26-F$25)*-1))</f>
        <v>0</v>
      </c>
      <c r="G31" s="89">
        <f>IF(G$27&gt;0,0,(MIN(E$69+F$69+F$31,-G$26-G$25)*-1))</f>
        <v>0</v>
      </c>
      <c r="H31" s="87">
        <v>0</v>
      </c>
      <c r="I31" s="88">
        <f>IF(I$27&gt;0,0,(MIN(H$69,-I$26-I$25)*-1))</f>
        <v>0</v>
      </c>
      <c r="J31" s="90">
        <f>IF(J$27&gt;0,0,(MIN(H$69+I$69+I$31,-J$26-J$25)*-1))</f>
        <v>0</v>
      </c>
    </row>
    <row r="32" spans="1:10">
      <c r="A32" s="1" t="s">
        <v>9</v>
      </c>
      <c r="B32" s="2"/>
      <c r="C32" s="2"/>
      <c r="D32" s="2"/>
      <c r="E32" s="83">
        <f t="shared" ref="E32:J32" si="7">(E$29+E$30+E$31)</f>
        <v>241365.35</v>
      </c>
      <c r="F32" s="84">
        <f t="shared" si="7"/>
        <v>213645.35</v>
      </c>
      <c r="G32" s="85">
        <f t="shared" si="7"/>
        <v>226119.35</v>
      </c>
      <c r="H32" s="83">
        <f t="shared" si="7"/>
        <v>201765.35</v>
      </c>
      <c r="I32" s="84">
        <f t="shared" si="7"/>
        <v>233445.35</v>
      </c>
      <c r="J32" s="86">
        <f t="shared" si="7"/>
        <v>245919.35</v>
      </c>
    </row>
    <row r="33" spans="1:10">
      <c r="A33" s="1" t="s">
        <v>55</v>
      </c>
      <c r="B33" s="2"/>
      <c r="C33" s="2"/>
      <c r="D33" s="2" t="s">
        <v>10</v>
      </c>
      <c r="E33" s="65">
        <v>1</v>
      </c>
      <c r="F33" s="66">
        <f>1/(1+$J$11)</f>
        <v>0.970873786407767</v>
      </c>
      <c r="G33" s="61">
        <f>1/((1+$J$11)^2)</f>
        <v>0.94259590913375435</v>
      </c>
      <c r="H33" s="65">
        <v>1</v>
      </c>
      <c r="I33" s="66">
        <f>1/(1+$J$11)</f>
        <v>0.970873786407767</v>
      </c>
      <c r="J33" s="62">
        <f>1/((1+$J$11)^2)</f>
        <v>0.94259590913375435</v>
      </c>
    </row>
    <row r="34" spans="1:10" ht="13.5" thickBot="1">
      <c r="A34" s="1" t="s">
        <v>11</v>
      </c>
      <c r="B34" s="2"/>
      <c r="C34" s="2"/>
      <c r="D34" s="2"/>
      <c r="E34" s="91">
        <f t="shared" ref="E34:J34" si="8">(E$32*E$33)</f>
        <v>241365.35</v>
      </c>
      <c r="F34" s="92">
        <f t="shared" si="8"/>
        <v>207422.66990291263</v>
      </c>
      <c r="G34" s="93">
        <f t="shared" si="8"/>
        <v>213139.17428598361</v>
      </c>
      <c r="H34" s="91">
        <f t="shared" si="8"/>
        <v>201765.35</v>
      </c>
      <c r="I34" s="92">
        <f t="shared" si="8"/>
        <v>226645.97087378643</v>
      </c>
      <c r="J34" s="94">
        <f t="shared" si="8"/>
        <v>231802.57328683193</v>
      </c>
    </row>
    <row r="35" spans="1:10" ht="13.5" thickTop="1">
      <c r="A35" s="1"/>
      <c r="B35" s="2"/>
      <c r="C35" s="2"/>
      <c r="D35" s="2"/>
      <c r="E35" s="1"/>
      <c r="F35" s="2"/>
      <c r="G35" s="2"/>
      <c r="H35" s="1"/>
      <c r="I35" s="2"/>
      <c r="J35" s="19"/>
    </row>
    <row r="36" spans="1:10" ht="15.75" thickBot="1">
      <c r="A36" s="110" t="s">
        <v>47</v>
      </c>
      <c r="B36" s="108"/>
      <c r="C36" s="108"/>
      <c r="D36" s="108"/>
      <c r="E36" s="1"/>
      <c r="F36" s="107">
        <f>$E$34+$F$34+$G$34</f>
        <v>661927.19418889633</v>
      </c>
      <c r="G36" s="2"/>
      <c r="H36" s="1"/>
      <c r="I36" s="107">
        <f>$H$34+$I$34+$J$34</f>
        <v>660213.89416061842</v>
      </c>
      <c r="J36" s="19"/>
    </row>
    <row r="37" spans="1:10" ht="14.25" thickTop="1" thickBot="1">
      <c r="A37" s="7"/>
      <c r="B37" s="8"/>
      <c r="C37" s="8"/>
      <c r="D37" s="8"/>
      <c r="E37" s="7"/>
      <c r="F37" s="8"/>
      <c r="G37" s="8"/>
      <c r="H37" s="7"/>
      <c r="I37" s="8"/>
      <c r="J37" s="9"/>
    </row>
    <row r="38" spans="1:10">
      <c r="A38" s="2"/>
      <c r="B38" s="2"/>
      <c r="C38" s="2"/>
      <c r="D38" s="2"/>
      <c r="E38" s="4"/>
      <c r="F38" s="5"/>
      <c r="G38" s="5"/>
      <c r="H38" s="5"/>
      <c r="I38" s="5"/>
      <c r="J38" s="6"/>
    </row>
    <row r="39" spans="1:10" ht="15.75" thickBot="1">
      <c r="A39" s="109" t="s">
        <v>59</v>
      </c>
      <c r="B39" s="109"/>
      <c r="C39" s="109"/>
      <c r="D39" s="109"/>
      <c r="E39" s="1"/>
      <c r="G39" s="106">
        <f>ROUND(F36-I36,0)</f>
        <v>1713</v>
      </c>
      <c r="H39" s="2"/>
      <c r="I39" s="2"/>
      <c r="J39" s="19"/>
    </row>
    <row r="40" spans="1:10" ht="14.25" thickTop="1" thickBot="1">
      <c r="A40" s="8"/>
      <c r="B40" s="8"/>
      <c r="C40" s="8"/>
      <c r="D40" s="9"/>
      <c r="E40" s="7"/>
      <c r="F40" s="8"/>
      <c r="G40" s="8"/>
      <c r="H40" s="8"/>
      <c r="I40" s="8"/>
      <c r="J40" s="9"/>
    </row>
    <row r="42" spans="1:10">
      <c r="A42" s="52" t="s">
        <v>37</v>
      </c>
      <c r="B42" s="78"/>
      <c r="C42" s="78"/>
    </row>
    <row r="43" spans="1:10" ht="13.5" thickBot="1"/>
    <row r="44" spans="1:10" ht="13.5" thickBot="1">
      <c r="A44" s="4" t="s">
        <v>44</v>
      </c>
      <c r="B44" s="5"/>
      <c r="C44" s="5"/>
      <c r="D44" s="6"/>
      <c r="E44" s="95">
        <f t="shared" ref="E44:J44" si="9">IF($J$10&lt;3,46700,70950)</f>
        <v>46700</v>
      </c>
      <c r="F44" s="95">
        <f t="shared" si="9"/>
        <v>46700</v>
      </c>
      <c r="G44" s="95">
        <f t="shared" si="9"/>
        <v>46700</v>
      </c>
      <c r="H44" s="95">
        <f t="shared" si="9"/>
        <v>46700</v>
      </c>
      <c r="I44" s="95">
        <f t="shared" si="9"/>
        <v>46700</v>
      </c>
      <c r="J44" s="95">
        <f t="shared" si="9"/>
        <v>46700</v>
      </c>
    </row>
    <row r="45" spans="1:10" ht="13.5" thickTop="1">
      <c r="A45" s="1"/>
      <c r="B45" s="2"/>
      <c r="C45" s="2"/>
      <c r="D45" s="19"/>
      <c r="E45" s="28"/>
      <c r="F45" s="29"/>
      <c r="G45" s="30"/>
      <c r="H45" s="29"/>
      <c r="I45" s="29"/>
      <c r="J45" s="30"/>
    </row>
    <row r="46" spans="1:10">
      <c r="A46" s="1" t="s">
        <v>38</v>
      </c>
      <c r="B46" s="2"/>
      <c r="C46" s="2"/>
      <c r="D46" s="19"/>
      <c r="E46" s="96">
        <f t="shared" ref="E46:J46" si="10">E$21</f>
        <v>700000</v>
      </c>
      <c r="F46" s="85">
        <f t="shared" si="10"/>
        <v>630000</v>
      </c>
      <c r="G46" s="86">
        <f t="shared" si="10"/>
        <v>661500</v>
      </c>
      <c r="H46" s="85">
        <f t="shared" si="10"/>
        <v>600000</v>
      </c>
      <c r="I46" s="85">
        <f t="shared" si="10"/>
        <v>680000</v>
      </c>
      <c r="J46" s="86">
        <f t="shared" si="10"/>
        <v>711500</v>
      </c>
    </row>
    <row r="47" spans="1:10">
      <c r="A47" s="1" t="s">
        <v>39</v>
      </c>
      <c r="B47" s="2"/>
      <c r="C47" s="2"/>
      <c r="D47" s="19"/>
      <c r="E47" s="97">
        <f t="shared" ref="E47:J47" si="11">IF($J$10&lt;3,-112500,-150000)</f>
        <v>-112500</v>
      </c>
      <c r="F47" s="89">
        <f t="shared" si="11"/>
        <v>-112500</v>
      </c>
      <c r="G47" s="90">
        <f t="shared" si="11"/>
        <v>-112500</v>
      </c>
      <c r="H47" s="89">
        <f t="shared" si="11"/>
        <v>-112500</v>
      </c>
      <c r="I47" s="89">
        <f t="shared" si="11"/>
        <v>-112500</v>
      </c>
      <c r="J47" s="90">
        <f t="shared" si="11"/>
        <v>-112500</v>
      </c>
    </row>
    <row r="48" spans="1:10">
      <c r="A48" s="1" t="s">
        <v>40</v>
      </c>
      <c r="B48" s="2"/>
      <c r="C48" s="2"/>
      <c r="D48" s="19"/>
      <c r="E48" s="96">
        <f t="shared" ref="E48:J48" si="12">E$46+E$47</f>
        <v>587500</v>
      </c>
      <c r="F48" s="85">
        <f t="shared" si="12"/>
        <v>517500</v>
      </c>
      <c r="G48" s="86">
        <f t="shared" si="12"/>
        <v>549000</v>
      </c>
      <c r="H48" s="85">
        <f t="shared" si="12"/>
        <v>487500</v>
      </c>
      <c r="I48" s="85">
        <f t="shared" si="12"/>
        <v>567500</v>
      </c>
      <c r="J48" s="86">
        <f t="shared" si="12"/>
        <v>599000</v>
      </c>
    </row>
    <row r="49" spans="1:10">
      <c r="A49" s="1" t="s">
        <v>41</v>
      </c>
      <c r="B49" s="2"/>
      <c r="C49" s="2"/>
      <c r="D49" s="19" t="s">
        <v>45</v>
      </c>
      <c r="E49" s="58">
        <v>0.25</v>
      </c>
      <c r="F49" s="57">
        <v>0.25</v>
      </c>
      <c r="G49" s="64">
        <v>0.25</v>
      </c>
      <c r="H49" s="57">
        <v>0.25</v>
      </c>
      <c r="I49" s="57">
        <v>0.25</v>
      </c>
      <c r="J49" s="64">
        <v>0.25</v>
      </c>
    </row>
    <row r="50" spans="1:10">
      <c r="A50" s="1" t="s">
        <v>42</v>
      </c>
      <c r="B50" s="2"/>
      <c r="C50" s="2"/>
      <c r="D50" s="19"/>
      <c r="E50" s="98">
        <f t="shared" ref="E50:J50" si="13">E$48*E$49</f>
        <v>146875</v>
      </c>
      <c r="F50" s="99">
        <f t="shared" si="13"/>
        <v>129375</v>
      </c>
      <c r="G50" s="100">
        <f t="shared" si="13"/>
        <v>137250</v>
      </c>
      <c r="H50" s="99">
        <f t="shared" si="13"/>
        <v>121875</v>
      </c>
      <c r="I50" s="99">
        <f t="shared" si="13"/>
        <v>141875</v>
      </c>
      <c r="J50" s="100">
        <f t="shared" si="13"/>
        <v>149750</v>
      </c>
    </row>
    <row r="51" spans="1:10" ht="13.5" thickBot="1">
      <c r="A51" s="7" t="s">
        <v>43</v>
      </c>
      <c r="B51" s="8"/>
      <c r="C51" s="8"/>
      <c r="D51" s="9"/>
      <c r="E51" s="101">
        <f t="shared" ref="E51:J51" si="14">IF((E$44-E$50)&lt;0,0,E$44-E$50)</f>
        <v>0</v>
      </c>
      <c r="F51" s="102">
        <f t="shared" si="14"/>
        <v>0</v>
      </c>
      <c r="G51" s="103">
        <f t="shared" si="14"/>
        <v>0</v>
      </c>
      <c r="H51" s="102">
        <f t="shared" si="14"/>
        <v>0</v>
      </c>
      <c r="I51" s="102">
        <f t="shared" si="14"/>
        <v>0</v>
      </c>
      <c r="J51" s="103">
        <f t="shared" si="14"/>
        <v>0</v>
      </c>
    </row>
    <row r="57" spans="1:10">
      <c r="A57" s="52" t="s">
        <v>48</v>
      </c>
    </row>
    <row r="58" spans="1:10" ht="13.5" thickBot="1"/>
    <row r="59" spans="1:10">
      <c r="A59" s="4" t="s">
        <v>52</v>
      </c>
      <c r="B59" s="5"/>
      <c r="C59" s="5"/>
      <c r="D59" s="6"/>
      <c r="E59" s="104">
        <f t="shared" ref="E59:J59" si="15">E$21-E$19</f>
        <v>700000</v>
      </c>
      <c r="F59" s="81">
        <f t="shared" si="15"/>
        <v>630000</v>
      </c>
      <c r="G59" s="82">
        <f t="shared" si="15"/>
        <v>661500</v>
      </c>
      <c r="H59" s="81">
        <f t="shared" si="15"/>
        <v>600000</v>
      </c>
      <c r="I59" s="81">
        <f t="shared" si="15"/>
        <v>680000</v>
      </c>
      <c r="J59" s="82">
        <f t="shared" si="15"/>
        <v>711500</v>
      </c>
    </row>
    <row r="60" spans="1:10">
      <c r="A60" s="1" t="s">
        <v>21</v>
      </c>
      <c r="B60" s="2"/>
      <c r="C60" s="2"/>
      <c r="D60" s="19"/>
      <c r="E60" s="97">
        <f t="shared" ref="E60:J60" si="16">-E$79</f>
        <v>0</v>
      </c>
      <c r="F60" s="89">
        <f t="shared" si="16"/>
        <v>0</v>
      </c>
      <c r="G60" s="90">
        <f t="shared" si="16"/>
        <v>0</v>
      </c>
      <c r="H60" s="89">
        <f t="shared" si="16"/>
        <v>0</v>
      </c>
      <c r="I60" s="89">
        <f t="shared" si="16"/>
        <v>0</v>
      </c>
      <c r="J60" s="90">
        <f t="shared" si="16"/>
        <v>0</v>
      </c>
    </row>
    <row r="61" spans="1:10" ht="13.5" thickBot="1">
      <c r="A61" s="1" t="s">
        <v>3</v>
      </c>
      <c r="B61" s="2"/>
      <c r="C61" s="2"/>
      <c r="D61" s="19"/>
      <c r="E61" s="105">
        <f t="shared" ref="E61:J61" si="17">IF((E$59+E$60)&lt;0,0,E$59+E$60)</f>
        <v>700000</v>
      </c>
      <c r="F61" s="93">
        <f t="shared" si="17"/>
        <v>630000</v>
      </c>
      <c r="G61" s="94">
        <f t="shared" si="17"/>
        <v>661500</v>
      </c>
      <c r="H61" s="93">
        <f t="shared" si="17"/>
        <v>600000</v>
      </c>
      <c r="I61" s="93">
        <f t="shared" si="17"/>
        <v>680000</v>
      </c>
      <c r="J61" s="94">
        <f t="shared" si="17"/>
        <v>711500</v>
      </c>
    </row>
    <row r="62" spans="1:10" ht="13.5" thickTop="1">
      <c r="A62" s="1"/>
      <c r="B62" s="2"/>
      <c r="C62" s="2"/>
      <c r="D62" s="19"/>
      <c r="E62" s="96"/>
      <c r="F62" s="85"/>
      <c r="G62" s="86"/>
      <c r="H62" s="85"/>
      <c r="I62" s="85"/>
      <c r="J62" s="86"/>
    </row>
    <row r="63" spans="1:10">
      <c r="A63" s="1" t="s">
        <v>4</v>
      </c>
      <c r="B63" s="2"/>
      <c r="C63" s="2"/>
      <c r="D63" s="19"/>
      <c r="E63" s="96">
        <f t="shared" ref="E63:J63" si="18">IF((E$61&lt;175000),E$61*0.26,45500+(E$61-175000)*0.28)</f>
        <v>192500</v>
      </c>
      <c r="F63" s="85">
        <f t="shared" si="18"/>
        <v>172900</v>
      </c>
      <c r="G63" s="86">
        <f t="shared" si="18"/>
        <v>181720</v>
      </c>
      <c r="H63" s="85">
        <f t="shared" si="18"/>
        <v>164500</v>
      </c>
      <c r="I63" s="85">
        <f t="shared" si="18"/>
        <v>186900</v>
      </c>
      <c r="J63" s="86">
        <f t="shared" si="18"/>
        <v>195720</v>
      </c>
    </row>
    <row r="64" spans="1:10">
      <c r="A64" s="1" t="s">
        <v>5</v>
      </c>
      <c r="B64" s="2"/>
      <c r="C64" s="2"/>
      <c r="D64" s="19"/>
      <c r="E64" s="97">
        <f>CHOOSE($J$10,Sheet2!E$7,Sheet2!E$8,Sheet2!E$9,Sheet2!E$10)*-1</f>
        <v>-241365.35</v>
      </c>
      <c r="F64" s="89">
        <f>CHOOSE($J$10,Sheet2!F$7,Sheet2!F$8,Sheet2!F$9,Sheet2!F$10)*-1</f>
        <v>-213645.35</v>
      </c>
      <c r="G64" s="90">
        <f>CHOOSE($J$10,Sheet2!G$7,Sheet2!G$8,Sheet2!G$9,Sheet2!G$10)*-1</f>
        <v>-226119.35</v>
      </c>
      <c r="H64" s="89">
        <f>CHOOSE($J$10,Sheet2!H$7,Sheet2!H$8,Sheet2!H$9,Sheet2!H$10)*-1</f>
        <v>-201765.35</v>
      </c>
      <c r="I64" s="89">
        <f>CHOOSE($J$10,Sheet2!I$7,Sheet2!I$8,Sheet2!I$9,Sheet2!I$10)*-1</f>
        <v>-233445.35</v>
      </c>
      <c r="J64" s="90">
        <f>CHOOSE($J$10,Sheet2!J$7,Sheet2!J$8,Sheet2!J$9,Sheet2!J$10)*-1</f>
        <v>-245919.35</v>
      </c>
    </row>
    <row r="65" spans="1:10" ht="13.5" thickBot="1">
      <c r="A65" s="1" t="s">
        <v>6</v>
      </c>
      <c r="B65" s="2"/>
      <c r="C65" s="2"/>
      <c r="D65" s="19"/>
      <c r="E65" s="105">
        <f>IF((E$63+E$64)&lt;0,0,E$63+E$64)</f>
        <v>0</v>
      </c>
      <c r="F65" s="93">
        <f>IF((F$25+F$26)&lt;0,0,F$25+F$26)</f>
        <v>0</v>
      </c>
      <c r="G65" s="94">
        <f>IF((G$25+G$26)&lt;0,0,G$25+G$26)</f>
        <v>0</v>
      </c>
      <c r="H65" s="93">
        <f>IF((H$63+H$64)&lt;0,0,H$63+H$64)</f>
        <v>0</v>
      </c>
      <c r="I65" s="93">
        <f>IF((I$63+I$64)&lt;0,0,I$63+I$64)</f>
        <v>0</v>
      </c>
      <c r="J65" s="94">
        <f>IF((J$63+J$64)&lt;0,0,J$63+J$64)</f>
        <v>0</v>
      </c>
    </row>
    <row r="66" spans="1:10" ht="13.5" thickTop="1">
      <c r="A66" s="1"/>
      <c r="B66" s="2"/>
      <c r="C66" s="2"/>
      <c r="D66" s="19"/>
      <c r="E66" s="96"/>
      <c r="F66" s="85"/>
      <c r="G66" s="86"/>
      <c r="H66" s="85"/>
      <c r="I66" s="85"/>
      <c r="J66" s="86"/>
    </row>
    <row r="67" spans="1:10">
      <c r="A67" s="63" t="s">
        <v>49</v>
      </c>
      <c r="B67" s="2"/>
      <c r="C67" s="2"/>
      <c r="D67" s="19"/>
      <c r="E67" s="96">
        <f t="shared" ref="E67:J67" si="19">E$27</f>
        <v>0</v>
      </c>
      <c r="F67" s="85">
        <f t="shared" si="19"/>
        <v>0</v>
      </c>
      <c r="G67" s="86">
        <f t="shared" si="19"/>
        <v>0</v>
      </c>
      <c r="H67" s="85">
        <f t="shared" si="19"/>
        <v>0</v>
      </c>
      <c r="I67" s="85">
        <f t="shared" si="19"/>
        <v>0</v>
      </c>
      <c r="J67" s="86">
        <f t="shared" si="19"/>
        <v>0</v>
      </c>
    </row>
    <row r="68" spans="1:10">
      <c r="A68" s="63" t="s">
        <v>53</v>
      </c>
      <c r="B68" s="2"/>
      <c r="C68" s="2"/>
      <c r="D68" s="19"/>
      <c r="E68" s="97">
        <f t="shared" ref="E68:J68" si="20">-E$65</f>
        <v>0</v>
      </c>
      <c r="F68" s="89">
        <f t="shared" si="20"/>
        <v>0</v>
      </c>
      <c r="G68" s="90">
        <f t="shared" si="20"/>
        <v>0</v>
      </c>
      <c r="H68" s="89">
        <f t="shared" si="20"/>
        <v>0</v>
      </c>
      <c r="I68" s="89">
        <f t="shared" si="20"/>
        <v>0</v>
      </c>
      <c r="J68" s="90">
        <f t="shared" si="20"/>
        <v>0</v>
      </c>
    </row>
    <row r="69" spans="1:10" ht="13.5" thickBot="1">
      <c r="A69" s="1"/>
      <c r="B69" s="2" t="s">
        <v>50</v>
      </c>
      <c r="C69" s="2"/>
      <c r="D69" s="19"/>
      <c r="E69" s="105">
        <f t="shared" ref="E69:J69" si="21">E$67+E$68</f>
        <v>0</v>
      </c>
      <c r="F69" s="93">
        <f t="shared" si="21"/>
        <v>0</v>
      </c>
      <c r="G69" s="94">
        <f t="shared" si="21"/>
        <v>0</v>
      </c>
      <c r="H69" s="93">
        <f t="shared" si="21"/>
        <v>0</v>
      </c>
      <c r="I69" s="93">
        <f t="shared" si="21"/>
        <v>0</v>
      </c>
      <c r="J69" s="94">
        <f t="shared" si="21"/>
        <v>0</v>
      </c>
    </row>
    <row r="70" spans="1:10" ht="13.5" thickTop="1">
      <c r="A70" s="1"/>
      <c r="B70" s="2"/>
      <c r="C70" s="2"/>
      <c r="D70" s="19"/>
      <c r="E70" s="96"/>
      <c r="F70" s="85"/>
      <c r="G70" s="86"/>
      <c r="H70" s="85"/>
      <c r="I70" s="85"/>
      <c r="J70" s="86"/>
    </row>
    <row r="71" spans="1:10">
      <c r="A71" s="1"/>
      <c r="B71" s="2"/>
      <c r="C71" s="2"/>
      <c r="D71" s="19"/>
      <c r="E71" s="96"/>
      <c r="F71" s="85"/>
      <c r="G71" s="86"/>
      <c r="H71" s="85"/>
      <c r="I71" s="85"/>
      <c r="J71" s="86"/>
    </row>
    <row r="72" spans="1:10">
      <c r="A72" s="1" t="s">
        <v>51</v>
      </c>
      <c r="B72" s="2"/>
      <c r="C72" s="2"/>
      <c r="D72" s="19"/>
      <c r="E72" s="97">
        <f t="shared" ref="E72:J72" si="22">IF($J$10&lt;3,46700,70950)</f>
        <v>46700</v>
      </c>
      <c r="F72" s="89">
        <f t="shared" si="22"/>
        <v>46700</v>
      </c>
      <c r="G72" s="90">
        <f t="shared" si="22"/>
        <v>46700</v>
      </c>
      <c r="H72" s="89">
        <f t="shared" si="22"/>
        <v>46700</v>
      </c>
      <c r="I72" s="89">
        <f t="shared" si="22"/>
        <v>46700</v>
      </c>
      <c r="J72" s="90">
        <f t="shared" si="22"/>
        <v>46700</v>
      </c>
    </row>
    <row r="73" spans="1:10">
      <c r="A73" s="1"/>
      <c r="B73" s="2"/>
      <c r="C73" s="2"/>
      <c r="D73" s="19"/>
      <c r="E73" s="96"/>
      <c r="F73" s="85"/>
      <c r="G73" s="86"/>
      <c r="H73" s="85"/>
      <c r="I73" s="85"/>
      <c r="J73" s="86"/>
    </row>
    <row r="74" spans="1:10">
      <c r="A74" s="1" t="s">
        <v>38</v>
      </c>
      <c r="B74" s="2"/>
      <c r="C74" s="2"/>
      <c r="D74" s="19"/>
      <c r="E74" s="96">
        <f t="shared" ref="E74:J74" si="23">E$61</f>
        <v>700000</v>
      </c>
      <c r="F74" s="85">
        <f t="shared" si="23"/>
        <v>630000</v>
      </c>
      <c r="G74" s="86">
        <f t="shared" si="23"/>
        <v>661500</v>
      </c>
      <c r="H74" s="85">
        <f t="shared" si="23"/>
        <v>600000</v>
      </c>
      <c r="I74" s="85">
        <f t="shared" si="23"/>
        <v>680000</v>
      </c>
      <c r="J74" s="86">
        <f t="shared" si="23"/>
        <v>711500</v>
      </c>
    </row>
    <row r="75" spans="1:10">
      <c r="A75" s="1" t="s">
        <v>39</v>
      </c>
      <c r="B75" s="2"/>
      <c r="C75" s="2"/>
      <c r="D75" s="19"/>
      <c r="E75" s="97">
        <f t="shared" ref="E75:J75" si="24">IF($J$10&lt;3,-112500,-150000)</f>
        <v>-112500</v>
      </c>
      <c r="F75" s="89">
        <f t="shared" si="24"/>
        <v>-112500</v>
      </c>
      <c r="G75" s="90">
        <f t="shared" si="24"/>
        <v>-112500</v>
      </c>
      <c r="H75" s="89">
        <f t="shared" si="24"/>
        <v>-112500</v>
      </c>
      <c r="I75" s="89">
        <f t="shared" si="24"/>
        <v>-112500</v>
      </c>
      <c r="J75" s="90">
        <f t="shared" si="24"/>
        <v>-112500</v>
      </c>
    </row>
    <row r="76" spans="1:10">
      <c r="A76" s="1" t="s">
        <v>40</v>
      </c>
      <c r="B76" s="2"/>
      <c r="C76" s="2"/>
      <c r="D76" s="19"/>
      <c r="E76" s="96">
        <f t="shared" ref="E76:J76" si="25">E$46+E$47</f>
        <v>587500</v>
      </c>
      <c r="F76" s="85">
        <f t="shared" si="25"/>
        <v>517500</v>
      </c>
      <c r="G76" s="86">
        <f t="shared" si="25"/>
        <v>549000</v>
      </c>
      <c r="H76" s="85">
        <f t="shared" si="25"/>
        <v>487500</v>
      </c>
      <c r="I76" s="85">
        <f t="shared" si="25"/>
        <v>567500</v>
      </c>
      <c r="J76" s="86">
        <f t="shared" si="25"/>
        <v>599000</v>
      </c>
    </row>
    <row r="77" spans="1:10">
      <c r="A77" s="1" t="s">
        <v>41</v>
      </c>
      <c r="B77" s="2"/>
      <c r="C77" s="2"/>
      <c r="D77" s="19" t="s">
        <v>45</v>
      </c>
      <c r="E77" s="58">
        <v>0.25</v>
      </c>
      <c r="F77" s="57">
        <v>0.25</v>
      </c>
      <c r="G77" s="64">
        <v>0.25</v>
      </c>
      <c r="H77" s="57">
        <v>0.25</v>
      </c>
      <c r="I77" s="57">
        <v>0.25</v>
      </c>
      <c r="J77" s="64">
        <v>0.25</v>
      </c>
    </row>
    <row r="78" spans="1:10">
      <c r="A78" s="1" t="s">
        <v>42</v>
      </c>
      <c r="B78" s="2"/>
      <c r="C78" s="2"/>
      <c r="D78" s="19"/>
      <c r="E78" s="98">
        <f t="shared" ref="E78:J78" si="26">E$48*E$49</f>
        <v>146875</v>
      </c>
      <c r="F78" s="99">
        <f t="shared" si="26"/>
        <v>129375</v>
      </c>
      <c r="G78" s="100">
        <f t="shared" si="26"/>
        <v>137250</v>
      </c>
      <c r="H78" s="99">
        <f t="shared" si="26"/>
        <v>121875</v>
      </c>
      <c r="I78" s="99">
        <f t="shared" si="26"/>
        <v>141875</v>
      </c>
      <c r="J78" s="100">
        <f t="shared" si="26"/>
        <v>149750</v>
      </c>
    </row>
    <row r="79" spans="1:10" ht="13.5" thickBot="1">
      <c r="A79" s="7" t="s">
        <v>43</v>
      </c>
      <c r="B79" s="8"/>
      <c r="C79" s="8"/>
      <c r="D79" s="9"/>
      <c r="E79" s="101">
        <f t="shared" ref="E79:J79" si="27">IF((E$44-E$50)&lt;0,0,E$44-E$50)</f>
        <v>0</v>
      </c>
      <c r="F79" s="102">
        <f t="shared" si="27"/>
        <v>0</v>
      </c>
      <c r="G79" s="103">
        <f t="shared" si="27"/>
        <v>0</v>
      </c>
      <c r="H79" s="102">
        <f t="shared" si="27"/>
        <v>0</v>
      </c>
      <c r="I79" s="102">
        <f t="shared" si="27"/>
        <v>0</v>
      </c>
      <c r="J79" s="103">
        <f t="shared" si="27"/>
        <v>0</v>
      </c>
    </row>
  </sheetData>
  <customSheetViews>
    <customSheetView guid="{60CF1A92-3520-4BAB-8E2C-F29840540FA4}">
      <selection activeCell="I56" sqref="I56"/>
      <pageMargins left="0.75" right="0.75" top="1" bottom="1" header="0.5" footer="0.5"/>
      <pageSetup scale="98" orientation="portrait" r:id="rId1"/>
      <headerFooter alignWithMargins="0"/>
    </customSheetView>
  </customSheetViews>
  <phoneticPr fontId="2" type="noConversion"/>
  <pageMargins left="0.75" right="0.75" top="1" bottom="1" header="0.5" footer="0.5"/>
  <pageSetup scale="98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I14" sqref="I14"/>
    </sheetView>
  </sheetViews>
  <sheetFormatPr defaultRowHeight="12.75"/>
  <cols>
    <col min="5" max="5" width="9.7109375" bestFit="1" customWidth="1"/>
    <col min="8" max="8" width="9.7109375" bestFit="1" customWidth="1"/>
  </cols>
  <sheetData>
    <row r="1" spans="1:10" ht="13.5" thickBot="1"/>
    <row r="2" spans="1:10">
      <c r="A2" s="27" t="s">
        <v>19</v>
      </c>
      <c r="E2" s="17" t="s">
        <v>14</v>
      </c>
      <c r="F2" s="10"/>
      <c r="G2" s="11"/>
      <c r="H2" s="15" t="s">
        <v>15</v>
      </c>
      <c r="I2" s="15"/>
      <c r="J2" s="16"/>
    </row>
    <row r="3" spans="1:10" ht="13.5" thickBot="1">
      <c r="A3" s="2"/>
      <c r="E3" s="12">
        <v>2010</v>
      </c>
      <c r="F3" s="13">
        <v>2011</v>
      </c>
      <c r="G3" s="14">
        <v>2012</v>
      </c>
      <c r="H3" s="13">
        <v>2010</v>
      </c>
      <c r="I3" s="13">
        <v>2011</v>
      </c>
      <c r="J3" s="14">
        <v>2012</v>
      </c>
    </row>
    <row r="4" spans="1:10">
      <c r="A4" s="2"/>
      <c r="E4" s="53"/>
      <c r="F4" s="54"/>
      <c r="G4" s="6"/>
      <c r="H4" s="53"/>
      <c r="I4" s="54"/>
      <c r="J4" s="6"/>
    </row>
    <row r="5" spans="1:10">
      <c r="A5" s="2" t="s">
        <v>20</v>
      </c>
      <c r="E5" s="47">
        <f>Sheet1!E$17+Sheet1!E$18</f>
        <v>700000</v>
      </c>
      <c r="F5" s="47">
        <f>Sheet1!F$17+Sheet1!F$18</f>
        <v>630000</v>
      </c>
      <c r="G5" s="47">
        <f>Sheet1!G$17+Sheet1!G$18</f>
        <v>661500</v>
      </c>
      <c r="H5" s="47">
        <f>Sheet1!H$17+Sheet1!H$18</f>
        <v>600000</v>
      </c>
      <c r="I5" s="47">
        <f>Sheet1!I$17+Sheet1!I$18</f>
        <v>680000</v>
      </c>
      <c r="J5" s="47">
        <f>Sheet1!J$17+Sheet1!J$18</f>
        <v>711500</v>
      </c>
    </row>
    <row r="6" spans="1:10">
      <c r="A6" s="2"/>
      <c r="E6" s="47"/>
      <c r="F6" s="47"/>
      <c r="G6" s="47"/>
      <c r="H6" s="47"/>
      <c r="I6" s="47"/>
      <c r="J6" s="47"/>
    </row>
    <row r="7" spans="1:10">
      <c r="A7" s="2" t="s">
        <v>30</v>
      </c>
      <c r="E7" s="47">
        <f t="shared" ref="E7:J7" si="0">((E$5-VLOOKUP(E$5,$E$18:$G$24,1))*VLOOKUP(E$5,$E$18:$G$24,3))+VLOOKUP(E$5,$E$18:$G$24,2)</f>
        <v>222643.75</v>
      </c>
      <c r="F7" s="47">
        <f t="shared" si="0"/>
        <v>198143.75</v>
      </c>
      <c r="G7" s="47">
        <f t="shared" si="0"/>
        <v>209168.75</v>
      </c>
      <c r="H7" s="47">
        <f t="shared" si="0"/>
        <v>187643.75</v>
      </c>
      <c r="I7" s="47">
        <f t="shared" si="0"/>
        <v>215643.75</v>
      </c>
      <c r="J7" s="47">
        <f t="shared" si="0"/>
        <v>226668.75</v>
      </c>
    </row>
    <row r="8" spans="1:10">
      <c r="A8" s="2" t="s">
        <v>31</v>
      </c>
      <c r="E8" s="47">
        <f>((E$5-VLOOKUP(E$5,$E$31:$G$38,1))*VLOOKUP(E$5,$E$31:$G$38,3))+VLOOKUP(E$5,$E$31:$G$38,2)</f>
        <v>241365.35</v>
      </c>
      <c r="F8" s="47">
        <f>((F$5-VLOOKUP(F$5,$E$31:$G$38,1))*VLOOKUP(F$5,$E$31:$G$38,3))+VLOOKUP(F$5,$E$31:$G$38,2)</f>
        <v>213645.35</v>
      </c>
      <c r="G8" s="47">
        <f>((G$5-VLOOKUP(G$5,$E$31:$G$38,1))*VLOOKUP(G$5,$E$31:$G$38,3))+VLOOKUP(G$5,$E$31:$G$38,2)</f>
        <v>226119.35</v>
      </c>
      <c r="H8" s="47">
        <f>((H$5-VLOOKUP(H$5,$E$31:$G$38,1))*VLOOKUP(H$5,$E$31:$G$38,3))+VLOOKUP(H$5,$E$31:$G$38,2)</f>
        <v>201765.35</v>
      </c>
      <c r="I8" s="47">
        <f>((I$5-VLOOKUP(I$5,$E$31:$G$38,1))*VLOOKUP(I$5,$E$31:$G$38,3))+VLOOKUP(I$5,$E$31:$G$38,2)</f>
        <v>233445.35</v>
      </c>
      <c r="J8" s="47">
        <f>((J$5-VLOOKUP(J$5,$E$31:$G$38,1))*VLOOKUP(J$5,$E$31:$G$38,3))+VLOOKUP(J$5,$E$31:$G$38,2)</f>
        <v>245919.35</v>
      </c>
    </row>
    <row r="9" spans="1:10">
      <c r="A9" s="20" t="s">
        <v>32</v>
      </c>
      <c r="E9" s="47">
        <f t="shared" ref="E9:J9" si="1">((E$5-VLOOKUP(E$5,$H$18:$J$24,1))*VLOOKUP(E$5,$H$18:$J$24,3))+VLOOKUP(E$5,$H$18:$J$24,2)</f>
        <v>215308</v>
      </c>
      <c r="F9" s="47">
        <f t="shared" si="1"/>
        <v>190808</v>
      </c>
      <c r="G9" s="47">
        <f t="shared" si="1"/>
        <v>201833</v>
      </c>
      <c r="H9" s="47">
        <f t="shared" si="1"/>
        <v>180308</v>
      </c>
      <c r="I9" s="47">
        <f t="shared" si="1"/>
        <v>208308</v>
      </c>
      <c r="J9" s="47">
        <f t="shared" si="1"/>
        <v>219333</v>
      </c>
    </row>
    <row r="10" spans="1:10">
      <c r="A10" s="20" t="s">
        <v>33</v>
      </c>
      <c r="E10" s="47">
        <f>((E$5-VLOOKUP(E$5,$H$31:$J$38,1))*VLOOKUP(E$5,$H$31:$J$38,3))+VLOOKUP(E$5,$H$31:$J$38,2)</f>
        <v>234029.6</v>
      </c>
      <c r="F10" s="47">
        <f>((F$5-VLOOKUP(F$5,$H$31:$J$38,1))*VLOOKUP(F$5,$H$31:$J$38,3))+VLOOKUP(F$5,$H$31:$J$38,2)</f>
        <v>206309.6</v>
      </c>
      <c r="G10" s="47">
        <f>((G$5-VLOOKUP(G$5,$H$31:$J$38,1))*VLOOKUP(G$5,$H$31:$J$38,3))+VLOOKUP(G$5,$H$31:$J$38,2)</f>
        <v>218783.6</v>
      </c>
      <c r="H10" s="47">
        <f>((H$5-VLOOKUP(H$5,$H$31:$J$38,1))*VLOOKUP(H$5,$H$31:$J$38,3))+VLOOKUP(H$5,$H$31:$J$38,2)</f>
        <v>194429.6</v>
      </c>
      <c r="I10" s="47">
        <f>((I$5-VLOOKUP(I$5,$H$31:$J$38,1))*VLOOKUP(I$5,$H$31:$J$38,3))+VLOOKUP(I$5,$H$31:$J$38,2)</f>
        <v>226109.6</v>
      </c>
      <c r="J10" s="47">
        <f>((J$5-VLOOKUP(J$5,$H$31:$J$38,1))*VLOOKUP(J$5,$H$31:$J$38,3))+VLOOKUP(J$5,$H$31:$J$38,2)</f>
        <v>238583.6</v>
      </c>
    </row>
    <row r="11" spans="1:10" ht="13.5" thickBot="1">
      <c r="A11" s="2"/>
      <c r="E11" s="48"/>
      <c r="F11" s="51"/>
      <c r="G11" s="31"/>
      <c r="H11" s="48"/>
      <c r="I11" s="51"/>
      <c r="J11" s="31"/>
    </row>
    <row r="12" spans="1:10">
      <c r="A12" s="20"/>
    </row>
    <row r="13" spans="1:10">
      <c r="E13" s="27" t="s">
        <v>26</v>
      </c>
    </row>
    <row r="14" spans="1:10" ht="13.5" thickBot="1">
      <c r="E14" s="27"/>
    </row>
    <row r="15" spans="1:10" ht="13.5" thickBot="1">
      <c r="E15" s="32"/>
      <c r="F15" s="33" t="s">
        <v>28</v>
      </c>
      <c r="G15" s="34"/>
      <c r="H15" s="33"/>
      <c r="I15" s="33" t="s">
        <v>29</v>
      </c>
      <c r="J15" s="34"/>
    </row>
    <row r="16" spans="1:10">
      <c r="E16" s="21" t="s">
        <v>22</v>
      </c>
      <c r="F16" s="22" t="s">
        <v>23</v>
      </c>
      <c r="G16" s="23"/>
      <c r="H16" s="21" t="s">
        <v>22</v>
      </c>
      <c r="I16" s="22" t="s">
        <v>23</v>
      </c>
      <c r="J16" s="23"/>
    </row>
    <row r="17" spans="5:10" ht="13.5" thickBot="1">
      <c r="E17" s="24"/>
      <c r="F17" s="25" t="s">
        <v>24</v>
      </c>
      <c r="G17" s="26" t="s">
        <v>25</v>
      </c>
      <c r="H17" s="24"/>
      <c r="I17" s="25" t="s">
        <v>24</v>
      </c>
      <c r="J17" s="26" t="s">
        <v>25</v>
      </c>
    </row>
    <row r="18" spans="5:10">
      <c r="E18" s="46">
        <v>0</v>
      </c>
      <c r="F18" s="49">
        <v>0</v>
      </c>
      <c r="G18" s="35">
        <v>0.1</v>
      </c>
      <c r="H18" s="46">
        <v>0</v>
      </c>
      <c r="I18" s="49">
        <v>0</v>
      </c>
      <c r="J18" s="35">
        <v>0.1</v>
      </c>
    </row>
    <row r="19" spans="5:10">
      <c r="E19" s="47">
        <v>8375</v>
      </c>
      <c r="F19" s="50">
        <v>837.5</v>
      </c>
      <c r="G19" s="36">
        <v>0.15</v>
      </c>
      <c r="H19" s="47">
        <v>16750</v>
      </c>
      <c r="I19" s="50">
        <v>1675</v>
      </c>
      <c r="J19" s="36">
        <v>0.15</v>
      </c>
    </row>
    <row r="20" spans="5:10">
      <c r="E20" s="47">
        <v>34000</v>
      </c>
      <c r="F20" s="50">
        <v>4681.25</v>
      </c>
      <c r="G20" s="36">
        <v>0.25</v>
      </c>
      <c r="H20" s="47">
        <v>68000</v>
      </c>
      <c r="I20" s="50">
        <v>9362.5</v>
      </c>
      <c r="J20" s="36">
        <v>0.25</v>
      </c>
    </row>
    <row r="21" spans="5:10">
      <c r="E21" s="47">
        <v>82400</v>
      </c>
      <c r="F21" s="50">
        <v>16781.25</v>
      </c>
      <c r="G21" s="36">
        <v>0.28000000000000003</v>
      </c>
      <c r="H21" s="47">
        <v>137300</v>
      </c>
      <c r="I21" s="50">
        <v>26687.5</v>
      </c>
      <c r="J21" s="36">
        <v>0.28000000000000003</v>
      </c>
    </row>
    <row r="22" spans="5:10">
      <c r="E22" s="47">
        <v>171850</v>
      </c>
      <c r="F22" s="50">
        <v>41827.25</v>
      </c>
      <c r="G22" s="36">
        <v>0.33</v>
      </c>
      <c r="H22" s="47">
        <v>209250</v>
      </c>
      <c r="I22" s="50">
        <v>46833.5</v>
      </c>
      <c r="J22" s="36">
        <v>0.33</v>
      </c>
    </row>
    <row r="23" spans="5:10">
      <c r="E23" s="47">
        <v>373650</v>
      </c>
      <c r="F23" s="50">
        <v>108421.25</v>
      </c>
      <c r="G23" s="36">
        <v>0.35</v>
      </c>
      <c r="H23" s="47">
        <v>373650</v>
      </c>
      <c r="I23" s="50">
        <f>$I$22+(($H$23-$H$22)*$J$22)</f>
        <v>101085.5</v>
      </c>
      <c r="J23" s="36">
        <v>0.35</v>
      </c>
    </row>
    <row r="24" spans="5:10" ht="13.5" thickBot="1">
      <c r="E24" s="48">
        <v>9999999</v>
      </c>
      <c r="F24" s="51">
        <v>108421.25</v>
      </c>
      <c r="G24" s="37">
        <v>0.35</v>
      </c>
      <c r="H24" s="48">
        <v>9999999</v>
      </c>
      <c r="I24" s="51">
        <f>$I$22+(($H$23-$H$22)*$J$22)</f>
        <v>101085.5</v>
      </c>
      <c r="J24" s="37">
        <v>0.35</v>
      </c>
    </row>
    <row r="26" spans="5:10">
      <c r="E26" s="27" t="s">
        <v>27</v>
      </c>
    </row>
    <row r="27" spans="5:10" ht="13.5" thickBot="1">
      <c r="E27" s="27"/>
    </row>
    <row r="28" spans="5:10" ht="13.5" thickBot="1">
      <c r="E28" s="32"/>
      <c r="F28" s="33" t="s">
        <v>28</v>
      </c>
      <c r="G28" s="34"/>
      <c r="H28" s="33"/>
      <c r="I28" s="33" t="s">
        <v>29</v>
      </c>
      <c r="J28" s="34"/>
    </row>
    <row r="29" spans="5:10">
      <c r="E29" s="21" t="s">
        <v>22</v>
      </c>
      <c r="F29" s="22" t="s">
        <v>23</v>
      </c>
      <c r="G29" s="23"/>
      <c r="H29" s="21" t="s">
        <v>22</v>
      </c>
      <c r="I29" s="22" t="s">
        <v>23</v>
      </c>
      <c r="J29" s="23"/>
    </row>
    <row r="30" spans="5:10" ht="13.5" thickBot="1">
      <c r="E30" s="24"/>
      <c r="F30" s="25" t="s">
        <v>24</v>
      </c>
      <c r="G30" s="26" t="s">
        <v>25</v>
      </c>
      <c r="H30" s="24"/>
      <c r="I30" s="25" t="s">
        <v>24</v>
      </c>
      <c r="J30" s="26" t="s">
        <v>25</v>
      </c>
    </row>
    <row r="31" spans="5:10">
      <c r="E31" s="46">
        <v>0</v>
      </c>
      <c r="F31" s="49">
        <v>0</v>
      </c>
      <c r="G31" s="35">
        <v>0.1</v>
      </c>
      <c r="H31" s="46">
        <v>0</v>
      </c>
      <c r="I31" s="49">
        <v>0</v>
      </c>
      <c r="J31" s="35">
        <v>0.1</v>
      </c>
    </row>
    <row r="32" spans="5:10">
      <c r="E32" s="47">
        <v>8375</v>
      </c>
      <c r="F32" s="50">
        <v>837.5</v>
      </c>
      <c r="G32" s="36">
        <v>0.15</v>
      </c>
      <c r="H32" s="47">
        <v>16750</v>
      </c>
      <c r="I32" s="50">
        <v>1675</v>
      </c>
      <c r="J32" s="36">
        <v>0.15</v>
      </c>
    </row>
    <row r="33" spans="5:10">
      <c r="E33" s="47">
        <v>34000</v>
      </c>
      <c r="F33" s="50">
        <v>4681.25</v>
      </c>
      <c r="G33" s="36">
        <v>0.25</v>
      </c>
      <c r="H33" s="47">
        <v>68000</v>
      </c>
      <c r="I33" s="50">
        <v>9362.5</v>
      </c>
      <c r="J33" s="36">
        <v>0.25</v>
      </c>
    </row>
    <row r="34" spans="5:10">
      <c r="E34" s="47">
        <v>82400</v>
      </c>
      <c r="F34" s="50">
        <v>16781.25</v>
      </c>
      <c r="G34" s="36">
        <v>0.28000000000000003</v>
      </c>
      <c r="H34" s="47">
        <v>137300</v>
      </c>
      <c r="I34" s="50">
        <v>26687.5</v>
      </c>
      <c r="J34" s="36">
        <v>0.28000000000000003</v>
      </c>
    </row>
    <row r="35" spans="5:10">
      <c r="E35" s="47">
        <v>171850</v>
      </c>
      <c r="F35" s="50">
        <v>41827.25</v>
      </c>
      <c r="G35" s="36">
        <v>0.33</v>
      </c>
      <c r="H35" s="47">
        <v>209250</v>
      </c>
      <c r="I35" s="50">
        <v>46833.5</v>
      </c>
      <c r="J35" s="36">
        <v>0.33</v>
      </c>
    </row>
    <row r="36" spans="5:10">
      <c r="E36" s="47">
        <v>250000</v>
      </c>
      <c r="F36" s="50">
        <f>$F$35+(($E$36-$E$35)*$G$35)</f>
        <v>67616.75</v>
      </c>
      <c r="G36" s="36">
        <v>0.36</v>
      </c>
      <c r="H36" s="47">
        <v>250000</v>
      </c>
      <c r="I36" s="50">
        <f>$I$35+(($H$36-$H$35)*$J$35)</f>
        <v>60281</v>
      </c>
      <c r="J36" s="36">
        <v>0.36</v>
      </c>
    </row>
    <row r="37" spans="5:10">
      <c r="E37" s="47">
        <v>373650</v>
      </c>
      <c r="F37" s="50">
        <f>$F$36+(($E$37-$E$36)*$G$36)</f>
        <v>112130.75</v>
      </c>
      <c r="G37" s="38">
        <v>0.39600000000000002</v>
      </c>
      <c r="H37" s="47">
        <v>373650</v>
      </c>
      <c r="I37" s="50">
        <f>$I$36+(($H$37-$H$36)*$J$36)</f>
        <v>104795</v>
      </c>
      <c r="J37" s="38">
        <v>0.39600000000000002</v>
      </c>
    </row>
    <row r="38" spans="5:10" ht="13.5" thickBot="1">
      <c r="E38" s="48">
        <v>9999999</v>
      </c>
      <c r="F38" s="51">
        <f>$F$36+(($E$37-$E$36)*$G$36)</f>
        <v>112130.75</v>
      </c>
      <c r="G38" s="39">
        <v>0.39600000000000002</v>
      </c>
      <c r="H38" s="48">
        <v>9999999</v>
      </c>
      <c r="I38" s="51">
        <f>$I$36+(($H$37-$H$36)*$J$36)</f>
        <v>104795</v>
      </c>
      <c r="J38" s="39">
        <v>0.39600000000000002</v>
      </c>
    </row>
  </sheetData>
  <customSheetViews>
    <customSheetView guid="{60CF1A92-3520-4BAB-8E2C-F29840540FA4}">
      <selection activeCell="I14" sqref="I14"/>
      <pageMargins left="0.75" right="0.75" top="1" bottom="1" header="0.5" footer="0.5"/>
      <headerFooter alignWithMargins="0"/>
    </customSheetView>
  </customSheetView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customSheetViews>
    <customSheetView guid="{60CF1A92-3520-4BAB-8E2C-F29840540FA4}">
      <pageMargins left="0.75" right="0.75" top="1" bottom="1" header="0.5" footer="0.5"/>
      <headerFooter alignWithMargins="0"/>
    </customSheetView>
  </customSheetView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John,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pbonner</cp:lastModifiedBy>
  <cp:lastPrinted>2010-01-12T21:30:16Z</cp:lastPrinted>
  <dcterms:created xsi:type="dcterms:W3CDTF">2010-01-11T22:53:24Z</dcterms:created>
  <dcterms:modified xsi:type="dcterms:W3CDTF">2010-07-30T21:16:30Z</dcterms:modified>
</cp:coreProperties>
</file>